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<sst xmlns="http://schemas.openxmlformats.org/spreadsheetml/2006/main" count="165" uniqueCount="113">
  <si>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</si>
  <si>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</si>
  <si>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</si>
  <si>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</si>
  <si>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</si>
  <si>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</si>
  <si>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</si>
  <si>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</si>
  <si>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</si>
  <si>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</si>
  <si>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</si>
  <si>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</si>
  <si>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</si>
  <si>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</si>
  <si>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</si>
  <si>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</si>
  <si>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</si>
  <si>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</si>
  <si>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</si>
  <si>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</si>
  <si>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</si>
  <si>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</si>
  <si>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</si>
  <si>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</si>
  <si>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</si>
  <si>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</si>
  <si>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</si>
  <si>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</si>
  <si>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</si>
  <si>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</si>
  <si>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</si>
  <si>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</si>
  <si>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</si>
  <si>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</si>
  <si>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</si>
  <si>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</si>
  <si>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</si>
  <si>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</si>
  <si>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</si>
  <si>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</si>
  <si>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</si>
  <si>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</si>
  <si>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</si>
  <si>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</si>
  <si>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</si>
  <si>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</si>
  <si>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</si>
  <si>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</si>
  <si>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</si>
  <si>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</si>
  <si>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</si>
  <si>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</si>
  <si>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</si>
  <si>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</si>
  <si>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</si>
  <si>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</si>
  <si>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</si>
  <si>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</si>
  <si>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</si>
  <si>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</si>
  <si>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</si>
  <si>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</si>
  <si>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</si>
  <si>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</si>
  <si>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</si>
  <si>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</si>
  <si>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</si>
  <si>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</si>
  <si>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</si>
  <si>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</si>
  <si>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</si>
  <si>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</si>
  <si>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</si>
  <si>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</si>
  <si>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</si>
  <si>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</si>
  <si>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</si>
  <si>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</si>
  <si>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</si>
  <si>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</si>
  <si>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</si>
  <si>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</si>
  <si>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</si>
  <si>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</si>
  <si>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</si>
  <si>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</si>
  <si>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</si>
  <si>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</si>
  <si>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</si>
  <si>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</si>
  <si>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</si>
  <si>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</si>
  <si>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</si>
  <si>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</si>
  <si>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</si>
  <si>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</si>
  <si>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</si>
  <si>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</si>
  <si>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</si>
  <si>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</si>
  <si>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</si>
  <si>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</si>
  <si>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</si>
  <si>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</si>
  <si>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</si>
  <si>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</si>
  <si>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</si>
  <si>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</si>
  <si>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</si>
  <si>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</si>
  <si>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</si>
  <si>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</si>
  <si>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06.04.2018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</si>
</sst>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46295.00000000001</c:v>
                </c:pt>
                <c:pt idx="1">
                  <c:v>44316.70999999999</c:v>
                </c:pt>
                <c:pt idx="2">
                  <c:v>835.2</c:v>
                </c:pt>
                <c:pt idx="3">
                  <c:v>1143.0900000000154</c:v>
                </c:pt>
              </c:numCache>
            </c:numRef>
          </c:val>
          <c:shape val="box"/>
        </c:ser>
        <c:shape val="box"/>
        <c:axId val="2530053"/>
        <c:axId val="66983946"/>
      </c:bar3DChart>
      <c:catAx>
        <c:axId val="2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83946"/>
        <c:crosses val="autoZero"/>
        <c:auto val="1"/>
        <c:lblOffset val="100"/>
        <c:tickLblSkip val="1"/>
        <c:noMultiLvlLbl val="0"/>
      </c:catAx>
      <c:valAx>
        <c:axId val="66983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625"/>
          <c:w val="0.8435"/>
          <c:h val="0.68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190241.8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7250.499999999999</c:v>
                </c:pt>
                <c:pt idx="5">
                  <c:v>30240.90000000001</c:v>
                </c:pt>
                <c:pt idx="6">
                  <c:v>3264.1</c:v>
                </c:pt>
                <c:pt idx="7">
                  <c:v>874.1999999999593</c:v>
                </c:pt>
              </c:numCache>
            </c:numRef>
          </c:val>
          <c:shape val="box"/>
        </c:ser>
        <c:shape val="box"/>
        <c:axId val="60488211"/>
        <c:axId val="51758576"/>
      </c:bar3DChart>
      <c:catAx>
        <c:axId val="6048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58576"/>
        <c:crosses val="autoZero"/>
        <c:auto val="1"/>
        <c:lblOffset val="100"/>
        <c:tickLblSkip val="1"/>
        <c:noMultiLvlLbl val="0"/>
      </c:catAx>
      <c:valAx>
        <c:axId val="5175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97732.70000000001</c:v>
                </c:pt>
                <c:pt idx="1">
                  <c:v>67820.20000000001</c:v>
                </c:pt>
                <c:pt idx="2">
                  <c:v>97732.70000000001</c:v>
                </c:pt>
              </c:numCache>
            </c:numRef>
          </c:val>
          <c:shape val="box"/>
        </c:ser>
        <c:shape val="box"/>
        <c:axId val="58849969"/>
        <c:axId val="32040614"/>
      </c:bar3DChart>
      <c:catAx>
        <c:axId val="588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40614"/>
        <c:crosses val="autoZero"/>
        <c:auto val="1"/>
        <c:lblOffset val="100"/>
        <c:tickLblSkip val="1"/>
        <c:noMultiLvlLbl val="0"/>
      </c:catAx>
      <c:valAx>
        <c:axId val="32040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9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4975.099999999999</c:v>
                </c:pt>
                <c:pt idx="1">
                  <c:v>2838.8999999999996</c:v>
                </c:pt>
                <c:pt idx="2">
                  <c:v>6.8</c:v>
                </c:pt>
                <c:pt idx="3">
                  <c:v>363.8</c:v>
                </c:pt>
                <c:pt idx="4">
                  <c:v>93</c:v>
                </c:pt>
                <c:pt idx="5">
                  <c:v>15.299999999999999</c:v>
                </c:pt>
                <c:pt idx="6">
                  <c:v>1657.3</c:v>
                </c:pt>
              </c:numCache>
            </c:numRef>
          </c:val>
          <c:shape val="box"/>
        </c:ser>
        <c:shape val="box"/>
        <c:axId val="20430943"/>
        <c:axId val="9098156"/>
      </c:bar3DChart>
      <c:catAx>
        <c:axId val="20430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98156"/>
        <c:crosses val="autoZero"/>
        <c:auto val="1"/>
        <c:lblOffset val="100"/>
        <c:tickLblSkip val="1"/>
        <c:noMultiLvlLbl val="0"/>
      </c:catAx>
      <c:valAx>
        <c:axId val="9098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0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875"/>
          <c:w val="0.86375"/>
          <c:h val="0.65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7187.2</c:v>
                </c:pt>
                <c:pt idx="1">
                  <c:v>4326.3</c:v>
                </c:pt>
                <c:pt idx="3">
                  <c:v>186.60000000000002</c:v>
                </c:pt>
                <c:pt idx="4">
                  <c:v>273.1</c:v>
                </c:pt>
                <c:pt idx="5">
                  <c:v>330</c:v>
                </c:pt>
                <c:pt idx="6">
                  <c:v>2071.2</c:v>
                </c:pt>
              </c:numCache>
            </c:numRef>
          </c:val>
          <c:shape val="box"/>
        </c:ser>
        <c:shape val="box"/>
        <c:axId val="12440221"/>
        <c:axId val="55351938"/>
      </c:bar3DChart>
      <c:catAx>
        <c:axId val="1244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51938"/>
        <c:crosses val="autoZero"/>
        <c:auto val="1"/>
        <c:lblOffset val="100"/>
        <c:tickLblSkip val="2"/>
        <c:noMultiLvlLbl val="0"/>
      </c:catAx>
      <c:valAx>
        <c:axId val="5535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40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47971563"/>
        <c:axId val="59464872"/>
      </c:bar3DChart>
      <c:catAx>
        <c:axId val="4797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4872"/>
        <c:crosses val="autoZero"/>
        <c:auto val="1"/>
        <c:lblOffset val="100"/>
        <c:tickLblSkip val="1"/>
        <c:noMultiLvlLbl val="0"/>
      </c:catAx>
      <c:valAx>
        <c:axId val="59464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5"/>
          <c:w val="0.85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8557.800000000001</c:v>
                </c:pt>
              </c:numCache>
            </c:numRef>
          </c:val>
          <c:shape val="box"/>
        </c:ser>
        <c:shape val="box"/>
        <c:axId val="64630473"/>
        <c:axId val="2863006"/>
      </c:bar3DChart>
      <c:catAx>
        <c:axId val="64630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3006"/>
        <c:crosses val="autoZero"/>
        <c:auto val="1"/>
        <c:lblOffset val="100"/>
        <c:tickLblSkip val="1"/>
        <c:noMultiLvlLbl val="0"/>
      </c:catAx>
      <c:valAx>
        <c:axId val="2863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190241.8</c:v>
                </c:pt>
                <c:pt idx="1">
                  <c:v>97732.70000000001</c:v>
                </c:pt>
                <c:pt idx="2">
                  <c:v>4975.099999999999</c:v>
                </c:pt>
                <c:pt idx="3">
                  <c:v>7187.2</c:v>
                </c:pt>
                <c:pt idx="4">
                  <c:v>890.6000000000003</c:v>
                </c:pt>
                <c:pt idx="5">
                  <c:v>46295.00000000001</c:v>
                </c:pt>
                <c:pt idx="6">
                  <c:v>8557.800000000001</c:v>
                </c:pt>
              </c:numCache>
            </c:numRef>
          </c:val>
          <c:shape val="box"/>
        </c:ser>
        <c:shape val="box"/>
        <c:axId val="17521591"/>
        <c:axId val="56229092"/>
      </c:bar3DChart>
      <c:catAx>
        <c:axId val="175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29092"/>
        <c:crosses val="autoZero"/>
        <c:auto val="1"/>
        <c:lblOffset val="100"/>
        <c:tickLblSkip val="1"/>
        <c:noMultiLvlLbl val="0"/>
      </c:catAx>
      <c:valAx>
        <c:axId val="5622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204109.71</c:v>
                </c:pt>
                <c:pt idx="1">
                  <c:v>36194.90000000001</c:v>
                </c:pt>
                <c:pt idx="2">
                  <c:v>7455.7</c:v>
                </c:pt>
                <c:pt idx="3">
                  <c:v>5886.400000000001</c:v>
                </c:pt>
                <c:pt idx="4">
                  <c:v>8.8</c:v>
                </c:pt>
                <c:pt idx="5">
                  <c:v>157400.59</c:v>
                </c:pt>
              </c:numCache>
            </c:numRef>
          </c:val>
          <c:shape val="box"/>
        </c:ser>
        <c:shape val="box"/>
        <c:axId val="27351861"/>
        <c:axId val="40362490"/>
      </c:bar3DChart>
      <c:catAx>
        <c:axId val="2735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62490"/>
        <c:crosses val="autoZero"/>
        <c:auto val="1"/>
        <c:lblOffset val="100"/>
        <c:tickLblSkip val="1"/>
        <c:noMultiLvlLbl val="0"/>
      </c:catAx>
      <c:valAx>
        <c:axId val="40362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6" sqref="J13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8">
        <f>281230.3-1768.4+16</f>
        <v>279477.89999999997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</f>
        <v>190241.8</v>
      </c>
      <c r="E6" s="3">
        <f>D6/D153*100</f>
        <v>46.28122536072327</v>
      </c>
      <c r="F6" s="3">
        <f>D6/B6*100</f>
        <v>68.07042703555452</v>
      </c>
      <c r="G6" s="3">
        <f aca="true" t="shared" si="0" ref="G6:G43">D6/C6*100</f>
        <v>22.995475649128913</v>
      </c>
      <c r="H6" s="40">
        <f>B6-D6</f>
        <v>89236.09999999998</v>
      </c>
      <c r="I6" s="40">
        <f aca="true" t="shared" si="1" ref="I6:I43">C6-D6</f>
        <v>637059.2</v>
      </c>
      <c r="J6" s="164"/>
      <c r="K6" s="156"/>
    </row>
    <row r="7" spans="1:12" s="94" customFormat="1" ht="18">
      <c r="A7" s="142" t="s">
        <v>81</v>
      </c>
      <c r="B7" s="143">
        <v>78486.8</v>
      </c>
      <c r="C7" s="144">
        <v>262517.6</v>
      </c>
      <c r="D7" s="145">
        <f>8282.7+10875.2+9132.6+9963.6+4.3+9215.1+9968.6</f>
        <v>57442.1</v>
      </c>
      <c r="E7" s="146">
        <f>D7/D6*100</f>
        <v>30.19425804423634</v>
      </c>
      <c r="F7" s="146">
        <f>D7/B7*100</f>
        <v>73.18695627799833</v>
      </c>
      <c r="G7" s="146">
        <f>D7/C7*100</f>
        <v>21.881237677016703</v>
      </c>
      <c r="H7" s="145">
        <f>B7-D7</f>
        <v>21044.700000000004</v>
      </c>
      <c r="I7" s="145">
        <f t="shared" si="1"/>
        <v>205075.49999999997</v>
      </c>
      <c r="K7" s="156"/>
      <c r="L7" s="141"/>
    </row>
    <row r="8" spans="1:12" s="93" customFormat="1" ht="18">
      <c r="A8" s="103" t="s">
        <v>3</v>
      </c>
      <c r="B8" s="128">
        <f>204238.5-1768.4</f>
        <v>202470.1</v>
      </c>
      <c r="C8" s="129">
        <f>649221.9+8415.5</f>
        <v>657637.4</v>
      </c>
      <c r="D8" s="105">
        <f>18784.8+17058.5+10875.2+340.5+963.8+9132.6+10728.8+20670.9+9963.6+30.7+4.3+37.1+20227.5+2+9968.6+19814.4</f>
        <v>148603.30000000002</v>
      </c>
      <c r="E8" s="107">
        <f>D8/D6*100</f>
        <v>78.11285427282544</v>
      </c>
      <c r="F8" s="107">
        <f>D8/B8*100</f>
        <v>73.3951827948917</v>
      </c>
      <c r="G8" s="107">
        <f t="shared" si="0"/>
        <v>22.59654028192436</v>
      </c>
      <c r="H8" s="105">
        <f>B8-D8</f>
        <v>53866.79999999999</v>
      </c>
      <c r="I8" s="105">
        <f t="shared" si="1"/>
        <v>509034.1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3.4+5.4</f>
        <v>8.8</v>
      </c>
      <c r="E9" s="130">
        <f>D9/D6*100</f>
        <v>0.004625692145469608</v>
      </c>
      <c r="F9" s="107">
        <f>D9/B9*100</f>
        <v>28.571428571428577</v>
      </c>
      <c r="G9" s="107">
        <f t="shared" si="0"/>
        <v>9.007164790174002</v>
      </c>
      <c r="H9" s="105">
        <f aca="true" t="shared" si="2" ref="H9:H43">B9-D9</f>
        <v>22</v>
      </c>
      <c r="I9" s="105">
        <f t="shared" si="1"/>
        <v>88.9</v>
      </c>
      <c r="K9" s="156"/>
      <c r="L9" s="141"/>
    </row>
    <row r="10" spans="1:12" s="93" customFormat="1" ht="18">
      <c r="A10" s="103" t="s">
        <v>1</v>
      </c>
      <c r="B10" s="128">
        <v>15262.4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48.9+218.8+88.4+85.8+204.3+521.3+87.9+293.2+244.8+269.9+23.7+37.8+76.9+443.5+72.7+206+64-0.1+91.4+327.2+264.1+9.2+95.9+74.6+15.1+25+206.8+75.6+0.4+2993.6+83.8</f>
        <v>7250.499999999999</v>
      </c>
      <c r="E10" s="107">
        <f>D10/D6*100</f>
        <v>3.8112023750826576</v>
      </c>
      <c r="F10" s="107">
        <f aca="true" t="shared" si="3" ref="F10:F41">D10/B10*100</f>
        <v>47.505634762553726</v>
      </c>
      <c r="G10" s="107">
        <f t="shared" si="0"/>
        <v>16.329660726833747</v>
      </c>
      <c r="H10" s="105">
        <f t="shared" si="2"/>
        <v>8011.900000000001</v>
      </c>
      <c r="I10" s="105">
        <f t="shared" si="1"/>
        <v>37150.3</v>
      </c>
      <c r="K10" s="156"/>
      <c r="L10" s="141"/>
    </row>
    <row r="11" spans="1:12" s="93" customFormat="1" ht="18">
      <c r="A11" s="103" t="s">
        <v>0</v>
      </c>
      <c r="B11" s="128">
        <v>49159.6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19.1+640.6+125.5+108.2+60+64.1+0.7+97.8+43.1+15+139.1+27.1+31.6+324.4+180.4+824.6+269.5+6895.2+1223.1+1.6+0.1+1078.7+2077.1+4723+204.5+1867.4+1644.3+1147.4+2807.9+0.4+1264.2+1486.3+0.9+773+10.7+64.3</f>
        <v>30240.90000000001</v>
      </c>
      <c r="E11" s="107">
        <f>D11/D6*100</f>
        <v>15.8960333638559</v>
      </c>
      <c r="F11" s="107">
        <f t="shared" si="3"/>
        <v>61.51575684098327</v>
      </c>
      <c r="G11" s="107">
        <f t="shared" si="0"/>
        <v>34.29746723464487</v>
      </c>
      <c r="H11" s="105">
        <f t="shared" si="2"/>
        <v>18918.69999999999</v>
      </c>
      <c r="I11" s="105">
        <f t="shared" si="1"/>
        <v>57931.499999999985</v>
      </c>
      <c r="K11" s="156"/>
      <c r="L11" s="141"/>
    </row>
    <row r="12" spans="1:12" s="93" customFormat="1" ht="18">
      <c r="A12" s="103" t="s">
        <v>14</v>
      </c>
      <c r="B12" s="128">
        <v>4334.4</v>
      </c>
      <c r="C12" s="129">
        <v>12738</v>
      </c>
      <c r="D12" s="105">
        <f>874.5+251.8+346.3+159.7+538.5+10.6+57+168.9+31.7+165.3+10.6+439.5+199.1+10.6</f>
        <v>3264.1</v>
      </c>
      <c r="E12" s="107">
        <f>D12/D6*100</f>
        <v>1.7157638331849259</v>
      </c>
      <c r="F12" s="107">
        <f t="shared" si="3"/>
        <v>75.30684754521964</v>
      </c>
      <c r="G12" s="107">
        <f t="shared" si="0"/>
        <v>25.62490186842518</v>
      </c>
      <c r="H12" s="105">
        <f>B12-D12</f>
        <v>1070.2999999999997</v>
      </c>
      <c r="I12" s="105">
        <f t="shared" si="1"/>
        <v>9473.9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8220.599999999957</v>
      </c>
      <c r="C13" s="129">
        <f>C6-C8-C9-C10-C11-C12</f>
        <v>24254.699999999968</v>
      </c>
      <c r="D13" s="129">
        <f>D6-D8-D9-D10-D11-D12</f>
        <v>874.1999999999593</v>
      </c>
      <c r="E13" s="107">
        <f>D13/D6*100</f>
        <v>0.45952046290560716</v>
      </c>
      <c r="F13" s="107">
        <f t="shared" si="3"/>
        <v>10.634260272972337</v>
      </c>
      <c r="G13" s="107">
        <f t="shared" si="0"/>
        <v>3.6042498979577586</v>
      </c>
      <c r="H13" s="105">
        <f t="shared" si="2"/>
        <v>7346.399999999998</v>
      </c>
      <c r="I13" s="105">
        <f t="shared" si="1"/>
        <v>23380.500000000007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143030.1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</f>
        <v>97732.70000000001</v>
      </c>
      <c r="E18" s="3">
        <f>D18/D153*100</f>
        <v>23.77600040481093</v>
      </c>
      <c r="F18" s="3">
        <f>D18/B18*100</f>
        <v>68.33016267205295</v>
      </c>
      <c r="G18" s="3">
        <f t="shared" si="0"/>
        <v>23.041931951201402</v>
      </c>
      <c r="H18" s="40">
        <f>B18-D18</f>
        <v>45297.399999999994</v>
      </c>
      <c r="I18" s="40">
        <f t="shared" si="1"/>
        <v>326418.8</v>
      </c>
      <c r="J18" s="93"/>
      <c r="K18" s="156"/>
    </row>
    <row r="19" spans="1:13" s="94" customFormat="1" ht="18">
      <c r="A19" s="142" t="s">
        <v>82</v>
      </c>
      <c r="B19" s="143">
        <v>88011.7</v>
      </c>
      <c r="C19" s="144">
        <v>226186</v>
      </c>
      <c r="D19" s="145">
        <f>10253+8836.7+83+81.4+67.5+107.8+99.9+68+670.4+333.8+10669.5+517.6+20+0.9+930.5+9161.8+16.3+11.4+213.8+133.4+10945.8+52.3+638.7+0.4+5306.6+6666.4+53.2+13.5+1487.6+379</f>
        <v>67820.20000000001</v>
      </c>
      <c r="E19" s="146">
        <f>D19/D18*100</f>
        <v>69.39356019019223</v>
      </c>
      <c r="F19" s="146">
        <f t="shared" si="3"/>
        <v>77.05816385775984</v>
      </c>
      <c r="G19" s="146">
        <f t="shared" si="0"/>
        <v>29.984260741159936</v>
      </c>
      <c r="H19" s="145">
        <f t="shared" si="2"/>
        <v>20191.499999999985</v>
      </c>
      <c r="I19" s="145">
        <f t="shared" si="1"/>
        <v>158365.8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143030.1</v>
      </c>
      <c r="C25" s="129">
        <f>C18</f>
        <v>424151.5</v>
      </c>
      <c r="D25" s="129">
        <f>D18</f>
        <v>97732.70000000001</v>
      </c>
      <c r="E25" s="107">
        <f>D25/D18*100</f>
        <v>100</v>
      </c>
      <c r="F25" s="107">
        <f t="shared" si="3"/>
        <v>68.33016267205295</v>
      </c>
      <c r="G25" s="107">
        <f t="shared" si="0"/>
        <v>23.041931951201402</v>
      </c>
      <c r="H25" s="105">
        <f t="shared" si="2"/>
        <v>45297.399999999994</v>
      </c>
      <c r="I25" s="105">
        <f t="shared" si="1"/>
        <v>326418.8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8443.4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</f>
        <v>4975.099999999999</v>
      </c>
      <c r="E33" s="3">
        <f>D33/D153*100</f>
        <v>1.210321413549148</v>
      </c>
      <c r="F33" s="3">
        <f>D33/B33*100</f>
        <v>58.922945732761676</v>
      </c>
      <c r="G33" s="3">
        <f t="shared" si="0"/>
        <v>20.05676252061068</v>
      </c>
      <c r="H33" s="40">
        <f t="shared" si="2"/>
        <v>3468.3</v>
      </c>
      <c r="I33" s="40">
        <f t="shared" si="1"/>
        <v>19830</v>
      </c>
      <c r="J33" s="163"/>
      <c r="K33" s="156"/>
    </row>
    <row r="34" spans="1:11" s="93" customFormat="1" ht="18">
      <c r="A34" s="103" t="s">
        <v>3</v>
      </c>
      <c r="B34" s="128">
        <v>4086.6</v>
      </c>
      <c r="C34" s="129">
        <v>12906.6</v>
      </c>
      <c r="D34" s="105">
        <f>364.6+548.1+389.3+522.2+63+395+556.7</f>
        <v>2838.8999999999996</v>
      </c>
      <c r="E34" s="107">
        <f>D34/D33*100</f>
        <v>57.062169604631066</v>
      </c>
      <c r="F34" s="107">
        <f t="shared" si="3"/>
        <v>69.4685068271913</v>
      </c>
      <c r="G34" s="107">
        <f t="shared" si="0"/>
        <v>21.995723118404534</v>
      </c>
      <c r="H34" s="105">
        <f t="shared" si="2"/>
        <v>1247.7000000000003</v>
      </c>
      <c r="I34" s="105">
        <f t="shared" si="1"/>
        <v>10067.7</v>
      </c>
      <c r="K34" s="156"/>
    </row>
    <row r="35" spans="1:11" s="93" customFormat="1" ht="18">
      <c r="A35" s="103" t="s">
        <v>1</v>
      </c>
      <c r="B35" s="128">
        <v>27</v>
      </c>
      <c r="C35" s="129">
        <v>81.1</v>
      </c>
      <c r="D35" s="105">
        <v>6.8</v>
      </c>
      <c r="E35" s="107">
        <f>D35/D33*100</f>
        <v>0.1366806697352817</v>
      </c>
      <c r="F35" s="107">
        <f t="shared" si="3"/>
        <v>25.185185185185183</v>
      </c>
      <c r="G35" s="107">
        <f t="shared" si="0"/>
        <v>8.384710234278668</v>
      </c>
      <c r="H35" s="105">
        <f t="shared" si="2"/>
        <v>20.2</v>
      </c>
      <c r="I35" s="105">
        <f t="shared" si="1"/>
        <v>74.3</v>
      </c>
      <c r="K35" s="156"/>
    </row>
    <row r="36" spans="1:11" s="93" customFormat="1" ht="18">
      <c r="A36" s="103" t="s">
        <v>0</v>
      </c>
      <c r="B36" s="128">
        <v>965</v>
      </c>
      <c r="C36" s="129">
        <v>1783</v>
      </c>
      <c r="D36" s="105">
        <f>0.3+11.3+141.7+12.6+0.9+12.9+1.3+0.5+169.4+1.1+0.1+0.4+11.3</f>
        <v>363.8</v>
      </c>
      <c r="E36" s="107">
        <f>D36/D33*100</f>
        <v>7.312415830837573</v>
      </c>
      <c r="F36" s="107">
        <f t="shared" si="3"/>
        <v>37.69948186528497</v>
      </c>
      <c r="G36" s="107">
        <f t="shared" si="0"/>
        <v>20.4038137969714</v>
      </c>
      <c r="H36" s="105">
        <f t="shared" si="2"/>
        <v>601.2</v>
      </c>
      <c r="I36" s="105">
        <f t="shared" si="1"/>
        <v>1419.2</v>
      </c>
      <c r="K36" s="156"/>
    </row>
    <row r="37" spans="1:12" s="94" customFormat="1" ht="18">
      <c r="A37" s="119" t="s">
        <v>7</v>
      </c>
      <c r="B37" s="139">
        <v>293.1</v>
      </c>
      <c r="C37" s="140">
        <v>1008</v>
      </c>
      <c r="D37" s="110">
        <f>44.8+25.1+1.6+0.5+2.7+1+6.3+8.5+2.5</f>
        <v>93</v>
      </c>
      <c r="E37" s="114">
        <f>D37/D33*100</f>
        <v>1.8693091596148823</v>
      </c>
      <c r="F37" s="114">
        <f t="shared" si="3"/>
        <v>31.72978505629478</v>
      </c>
      <c r="G37" s="114">
        <f t="shared" si="0"/>
        <v>9.226190476190476</v>
      </c>
      <c r="H37" s="110">
        <f t="shared" si="2"/>
        <v>200.10000000000002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20.4</v>
      </c>
      <c r="C38" s="129">
        <v>80.8</v>
      </c>
      <c r="D38" s="129">
        <f>5.1+5.1+5.1</f>
        <v>15.299999999999999</v>
      </c>
      <c r="E38" s="107">
        <f>D38/D33*100</f>
        <v>0.3075315069043838</v>
      </c>
      <c r="F38" s="107">
        <f t="shared" si="3"/>
        <v>75</v>
      </c>
      <c r="G38" s="107">
        <f t="shared" si="0"/>
        <v>18.935643564356436</v>
      </c>
      <c r="H38" s="105">
        <f t="shared" si="2"/>
        <v>5.1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3051.2999999999993</v>
      </c>
      <c r="C39" s="128">
        <f>C33-C34-C36-C37-C35-C38</f>
        <v>8945.599999999999</v>
      </c>
      <c r="D39" s="128">
        <f>D33-D34-D36-D37-D35-D38</f>
        <v>1657.3</v>
      </c>
      <c r="E39" s="107">
        <f>D39/D33*100</f>
        <v>33.31189322827682</v>
      </c>
      <c r="F39" s="107">
        <f t="shared" si="3"/>
        <v>54.31455445220072</v>
      </c>
      <c r="G39" s="107">
        <f t="shared" si="0"/>
        <v>18.52642639957074</v>
      </c>
      <c r="H39" s="105">
        <f>B39-D39</f>
        <v>1393.9999999999993</v>
      </c>
      <c r="I39" s="105">
        <f t="shared" si="1"/>
        <v>7288.299999999998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f>846.5+87</f>
        <v>933.5</v>
      </c>
      <c r="C43" s="39">
        <f>1126.9+467</f>
        <v>1593.9</v>
      </c>
      <c r="D43" s="40">
        <f>63.9+1.1+0.6+70.8+0.5</f>
        <v>136.89999999999998</v>
      </c>
      <c r="E43" s="3">
        <f>D43/D153*100</f>
        <v>0.03330445649632738</v>
      </c>
      <c r="F43" s="3">
        <f>D43/B43*100</f>
        <v>14.665238350294588</v>
      </c>
      <c r="G43" s="3">
        <f t="shared" si="0"/>
        <v>8.588995545517284</v>
      </c>
      <c r="H43" s="40">
        <f t="shared" si="2"/>
        <v>796.6</v>
      </c>
      <c r="I43" s="40">
        <f t="shared" si="1"/>
        <v>1457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4560.2</v>
      </c>
      <c r="C45" s="39">
        <v>13576.3</v>
      </c>
      <c r="D45" s="40">
        <f>237.1+562.8+52.3+349.2+679.9+375.9+891</f>
        <v>3148.2</v>
      </c>
      <c r="E45" s="3">
        <f>D45/D153*100</f>
        <v>0.7658808615174425</v>
      </c>
      <c r="F45" s="3">
        <f>D45/B45*100</f>
        <v>69.03644576992237</v>
      </c>
      <c r="G45" s="3">
        <f aca="true" t="shared" si="5" ref="G45:G76">D45/C45*100</f>
        <v>23.188939549067126</v>
      </c>
      <c r="H45" s="40">
        <f>B45-D45</f>
        <v>1412</v>
      </c>
      <c r="I45" s="40">
        <f aca="true" t="shared" si="6" ref="I45:I77">C45-D45</f>
        <v>10428.099999999999</v>
      </c>
      <c r="J45" s="93"/>
      <c r="K45" s="156"/>
    </row>
    <row r="46" spans="1:11" s="93" customFormat="1" ht="18">
      <c r="A46" s="103" t="s">
        <v>3</v>
      </c>
      <c r="B46" s="128">
        <v>3938.4</v>
      </c>
      <c r="C46" s="129">
        <v>12256.4</v>
      </c>
      <c r="D46" s="105">
        <f>237.1+551.8+334.1+652.5+314.7+746.1</f>
        <v>2836.2999999999997</v>
      </c>
      <c r="E46" s="107">
        <f>D46/D45*100</f>
        <v>90.09275141350612</v>
      </c>
      <c r="F46" s="107">
        <f aca="true" t="shared" si="7" ref="F46:F74">D46/B46*100</f>
        <v>72.01655494617103</v>
      </c>
      <c r="G46" s="107">
        <f t="shared" si="5"/>
        <v>23.14137919780686</v>
      </c>
      <c r="H46" s="105">
        <f aca="true" t="shared" si="8" ref="H46:H74">B46-D46</f>
        <v>1102.1000000000004</v>
      </c>
      <c r="I46" s="105">
        <f t="shared" si="6"/>
        <v>9420.1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29.8</v>
      </c>
      <c r="C48" s="129">
        <v>98.9</v>
      </c>
      <c r="D48" s="105">
        <f>5.7+6.1</f>
        <v>11.8</v>
      </c>
      <c r="E48" s="107">
        <f>D48/D45*100</f>
        <v>0.37481735594943144</v>
      </c>
      <c r="F48" s="107">
        <f t="shared" si="7"/>
        <v>39.597315436241615</v>
      </c>
      <c r="G48" s="107">
        <f t="shared" si="5"/>
        <v>11.93124368048534</v>
      </c>
      <c r="H48" s="105">
        <f t="shared" si="8"/>
        <v>18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495.8</v>
      </c>
      <c r="C49" s="129">
        <v>879.8</v>
      </c>
      <c r="D49" s="105">
        <f>7.3+51.9+12.7-0.1+54.5+131.2</f>
        <v>257.5</v>
      </c>
      <c r="E49" s="107">
        <f>D49/D45*100</f>
        <v>8.179277047201577</v>
      </c>
      <c r="F49" s="107">
        <f t="shared" si="7"/>
        <v>51.936264622831786</v>
      </c>
      <c r="G49" s="107">
        <f t="shared" si="5"/>
        <v>29.26801545805865</v>
      </c>
      <c r="H49" s="105">
        <f t="shared" si="8"/>
        <v>238.3</v>
      </c>
      <c r="I49" s="105">
        <f t="shared" si="6"/>
        <v>622.3</v>
      </c>
      <c r="K49" s="156"/>
    </row>
    <row r="50" spans="1:11" s="93" customFormat="1" ht="18.75" thickBot="1">
      <c r="A50" s="103" t="s">
        <v>27</v>
      </c>
      <c r="B50" s="129">
        <f>B45-B46-B49-B48-B47</f>
        <v>95.39999999999972</v>
      </c>
      <c r="C50" s="129">
        <f>C45-C46-C49-C48-C47</f>
        <v>339.6999999999997</v>
      </c>
      <c r="D50" s="129">
        <f>D45-D46-D49-D48-D47</f>
        <v>42.600000000000094</v>
      </c>
      <c r="E50" s="107">
        <f>D50/D45*100</f>
        <v>1.3531541833428657</v>
      </c>
      <c r="F50" s="107">
        <f t="shared" si="7"/>
        <v>44.65408805031469</v>
      </c>
      <c r="G50" s="107">
        <f t="shared" si="5"/>
        <v>12.54047689137478</v>
      </c>
      <c r="H50" s="105">
        <f t="shared" si="8"/>
        <v>52.79999999999963</v>
      </c>
      <c r="I50" s="105">
        <f t="shared" si="6"/>
        <v>297.0999999999996</v>
      </c>
      <c r="K50" s="156"/>
    </row>
    <row r="51" spans="1:11" ht="18.75" thickBot="1">
      <c r="A51" s="20" t="s">
        <v>4</v>
      </c>
      <c r="B51" s="38">
        <v>10601.9</v>
      </c>
      <c r="C51" s="39">
        <v>37135.4</v>
      </c>
      <c r="D51" s="40">
        <f>632.9+35.2+911.5+180.2+1+93.6+110+157.4+908.3+5.2+0.4+827.7+156.7+1.3+214.8+344.6+657.7+47.5+111.7+17+80.2+154.3+72.4+1021.3+20+1.6+151.9+235.3+35.5</f>
        <v>7187.2</v>
      </c>
      <c r="E51" s="3">
        <f>D51/D153*100</f>
        <v>1.748471802267379</v>
      </c>
      <c r="F51" s="3">
        <f>D51/B51*100</f>
        <v>67.79162225638801</v>
      </c>
      <c r="G51" s="3">
        <f t="shared" si="5"/>
        <v>19.354039541784925</v>
      </c>
      <c r="H51" s="40">
        <f>B51-D51</f>
        <v>3414.7</v>
      </c>
      <c r="I51" s="40">
        <f t="shared" si="6"/>
        <v>29948.2</v>
      </c>
      <c r="J51" s="93"/>
      <c r="K51" s="156"/>
    </row>
    <row r="52" spans="1:11" s="93" customFormat="1" ht="18">
      <c r="A52" s="103" t="s">
        <v>3</v>
      </c>
      <c r="B52" s="128">
        <v>6074.9</v>
      </c>
      <c r="C52" s="129">
        <v>20097.4</v>
      </c>
      <c r="D52" s="105">
        <f>632.9+34.3+767.3+737.6+710.6+649.6+792.4+1.6</f>
        <v>4326.3</v>
      </c>
      <c r="E52" s="107">
        <f>D52/D51*100</f>
        <v>60.19451246660731</v>
      </c>
      <c r="F52" s="107">
        <f t="shared" si="7"/>
        <v>71.21598709443776</v>
      </c>
      <c r="G52" s="107">
        <f t="shared" si="5"/>
        <v>21.526665140764475</v>
      </c>
      <c r="H52" s="105">
        <f t="shared" si="8"/>
        <v>1748.5999999999995</v>
      </c>
      <c r="I52" s="105">
        <f t="shared" si="6"/>
        <v>15771.100000000002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325.5</v>
      </c>
      <c r="C54" s="129">
        <v>993.6</v>
      </c>
      <c r="D54" s="105">
        <f>0.2+4.2+9+4.7+9.6+6.3+43.2+2.7+18.4+3.8+23.8+5.3+12.2+43.2</f>
        <v>186.60000000000002</v>
      </c>
      <c r="E54" s="107">
        <f>D54/D51*100</f>
        <v>2.5962822796081926</v>
      </c>
      <c r="F54" s="107">
        <f t="shared" si="7"/>
        <v>57.32718894009218</v>
      </c>
      <c r="G54" s="107">
        <f t="shared" si="5"/>
        <v>18.78019323671498</v>
      </c>
      <c r="H54" s="105">
        <f t="shared" si="8"/>
        <v>138.89999999999998</v>
      </c>
      <c r="I54" s="105">
        <f t="shared" si="6"/>
        <v>807</v>
      </c>
      <c r="K54" s="156"/>
    </row>
    <row r="55" spans="1:11" s="93" customFormat="1" ht="18">
      <c r="A55" s="103" t="s">
        <v>0</v>
      </c>
      <c r="B55" s="128">
        <v>485.1</v>
      </c>
      <c r="C55" s="129">
        <v>1219.9</v>
      </c>
      <c r="D55" s="105">
        <f>0.5+1+2.8+12.3+8.3+0.5+0.4+8.7+15+0.3+1.3+64.9+33.6+8.1+0.1+94.7+0.3+9.8+7.8+0.9+1.8</f>
        <v>273.1</v>
      </c>
      <c r="E55" s="107">
        <f>D55/D51*100</f>
        <v>3.799810774710597</v>
      </c>
      <c r="F55" s="107">
        <f t="shared" si="7"/>
        <v>56.29767058338487</v>
      </c>
      <c r="G55" s="107">
        <f t="shared" si="5"/>
        <v>22.38708090827117</v>
      </c>
      <c r="H55" s="105">
        <f t="shared" si="8"/>
        <v>212</v>
      </c>
      <c r="I55" s="105">
        <f t="shared" si="6"/>
        <v>946.8000000000001</v>
      </c>
      <c r="K55" s="156"/>
    </row>
    <row r="56" spans="1:11" s="93" customFormat="1" ht="18">
      <c r="A56" s="103" t="s">
        <v>14</v>
      </c>
      <c r="B56" s="128">
        <v>440</v>
      </c>
      <c r="C56" s="129">
        <v>1320</v>
      </c>
      <c r="D56" s="129">
        <f>110+110+110</f>
        <v>330</v>
      </c>
      <c r="E56" s="107">
        <f>D56/D51*100</f>
        <v>4.591495992876225</v>
      </c>
      <c r="F56" s="107">
        <f>D56/B56*100</f>
        <v>75</v>
      </c>
      <c r="G56" s="107">
        <f>D56/C56*100</f>
        <v>25</v>
      </c>
      <c r="H56" s="105">
        <f t="shared" si="8"/>
        <v>110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3276.4</v>
      </c>
      <c r="C57" s="129">
        <f>C51-C52-C55-C54-C53-C56</f>
        <v>13490.6</v>
      </c>
      <c r="D57" s="129">
        <f>D51-D52-D55-D54-D53-D56</f>
        <v>2071.2</v>
      </c>
      <c r="E57" s="107">
        <f>D57/D51*100</f>
        <v>28.817898486197684</v>
      </c>
      <c r="F57" s="107">
        <f t="shared" si="7"/>
        <v>63.215724575753875</v>
      </c>
      <c r="G57" s="107">
        <f t="shared" si="5"/>
        <v>15.352912398262491</v>
      </c>
      <c r="H57" s="105">
        <f>B57-D57</f>
        <v>1205.2000000000003</v>
      </c>
      <c r="I57" s="105">
        <f>C57-D57</f>
        <v>11419.400000000001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1312.6</v>
      </c>
      <c r="C59" s="39">
        <v>9264.2</v>
      </c>
      <c r="D59" s="40">
        <f>87.7+79.1+87.8+43.2+40.5+47.6+13+155.9+18+2.1+84.2+29.6+0.7+0.5+5.7+85.8+109.2</f>
        <v>890.6000000000003</v>
      </c>
      <c r="E59" s="3">
        <f>D59/D153*100</f>
        <v>0.21666142407325917</v>
      </c>
      <c r="F59" s="3">
        <f>D59/B59*100</f>
        <v>67.8500685662045</v>
      </c>
      <c r="G59" s="3">
        <f t="shared" si="5"/>
        <v>9.613350316271239</v>
      </c>
      <c r="H59" s="40">
        <f>B59-D59</f>
        <v>421.99999999999966</v>
      </c>
      <c r="I59" s="40">
        <f t="shared" si="6"/>
        <v>8373.6</v>
      </c>
      <c r="J59" s="93"/>
      <c r="K59" s="156"/>
    </row>
    <row r="60" spans="1:11" s="93" customFormat="1" ht="18">
      <c r="A60" s="103" t="s">
        <v>3</v>
      </c>
      <c r="B60" s="128">
        <v>1003.3</v>
      </c>
      <c r="C60" s="129">
        <v>3119.7</v>
      </c>
      <c r="D60" s="105">
        <f>77.7+79.1+76.9+40.5+47.3+155.9+45+29.2+85.8+95.3</f>
        <v>732.7</v>
      </c>
      <c r="E60" s="107">
        <f>D60/D59*100</f>
        <v>82.27037951942509</v>
      </c>
      <c r="F60" s="107">
        <f t="shared" si="7"/>
        <v>73.02900428585669</v>
      </c>
      <c r="G60" s="107">
        <f t="shared" si="5"/>
        <v>23.486232650575378</v>
      </c>
      <c r="H60" s="105">
        <f t="shared" si="8"/>
        <v>270.5999999999999</v>
      </c>
      <c r="I60" s="105">
        <f t="shared" si="6"/>
        <v>2387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208.3</v>
      </c>
      <c r="C62" s="129">
        <v>393.7</v>
      </c>
      <c r="D62" s="105">
        <f>10.9+43.2+13-3+39.2+5.7</f>
        <v>109</v>
      </c>
      <c r="E62" s="107">
        <f>D62/D59*100</f>
        <v>12.238940040422182</v>
      </c>
      <c r="F62" s="107">
        <f t="shared" si="7"/>
        <v>52.328372539606335</v>
      </c>
      <c r="G62" s="107">
        <f t="shared" si="5"/>
        <v>27.686055372110747</v>
      </c>
      <c r="H62" s="105">
        <f t="shared" si="8"/>
        <v>99.30000000000001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100.99999999999994</v>
      </c>
      <c r="C64" s="129">
        <f>C59-C60-C62-C63-C61</f>
        <v>523.5000000000007</v>
      </c>
      <c r="D64" s="129">
        <f>D59-D60-D62-D63-D61</f>
        <v>48.900000000000205</v>
      </c>
      <c r="E64" s="107">
        <f>D64/D59*100</f>
        <v>5.490680440152727</v>
      </c>
      <c r="F64" s="107">
        <f t="shared" si="7"/>
        <v>48.41584158415865</v>
      </c>
      <c r="G64" s="107">
        <f t="shared" si="5"/>
        <v>9.34097421203441</v>
      </c>
      <c r="H64" s="105">
        <f t="shared" si="8"/>
        <v>52.09999999999974</v>
      </c>
      <c r="I64" s="105">
        <f t="shared" si="6"/>
        <v>474.6000000000005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332.2</v>
      </c>
      <c r="C69" s="39">
        <f>C70+C71</f>
        <v>555.8</v>
      </c>
      <c r="D69" s="40">
        <f>D70+D71</f>
        <v>169.5</v>
      </c>
      <c r="E69" s="30">
        <f>D69/D153*100</f>
        <v>0.04123524745162522</v>
      </c>
      <c r="F69" s="3">
        <f>D69/B69*100</f>
        <v>51.023479831426855</v>
      </c>
      <c r="G69" s="3">
        <f t="shared" si="5"/>
        <v>30.49658150413818</v>
      </c>
      <c r="H69" s="40">
        <f>B69-D69</f>
        <v>162.7</v>
      </c>
      <c r="I69" s="40">
        <f t="shared" si="6"/>
        <v>386.29999999999995</v>
      </c>
      <c r="J69" s="93"/>
      <c r="K69" s="156"/>
    </row>
    <row r="70" spans="1:11" s="93" customFormat="1" ht="18">
      <c r="A70" s="103" t="s">
        <v>8</v>
      </c>
      <c r="B70" s="128">
        <v>242.2</v>
      </c>
      <c r="C70" s="129">
        <v>292.7</v>
      </c>
      <c r="D70" s="105">
        <v>169.5</v>
      </c>
      <c r="E70" s="107">
        <f>D70/D69*100</f>
        <v>100</v>
      </c>
      <c r="F70" s="107">
        <f t="shared" si="7"/>
        <v>69.98348472336912</v>
      </c>
      <c r="G70" s="107">
        <f t="shared" si="5"/>
        <v>57.90912196788521</v>
      </c>
      <c r="H70" s="105">
        <f t="shared" si="8"/>
        <v>72.69999999999999</v>
      </c>
      <c r="I70" s="105">
        <f t="shared" si="6"/>
        <v>123.19999999999999</v>
      </c>
      <c r="K70" s="156"/>
    </row>
    <row r="71" spans="1:11" s="93" customFormat="1" ht="18.75" thickBot="1">
      <c r="A71" s="103" t="s">
        <v>9</v>
      </c>
      <c r="B71" s="128">
        <v>90</v>
      </c>
      <c r="C71" s="129">
        <f>293.1-30</f>
        <v>263.1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90</v>
      </c>
      <c r="I71" s="105">
        <f t="shared" si="6"/>
        <v>263.1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v>69140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</f>
        <v>46295.00000000001</v>
      </c>
      <c r="E90" s="3">
        <f>D90/D153*100</f>
        <v>11.262452983911444</v>
      </c>
      <c r="F90" s="3">
        <f aca="true" t="shared" si="11" ref="F90:F96">D90/B90*100</f>
        <v>66.958345386173</v>
      </c>
      <c r="G90" s="3">
        <f t="shared" si="9"/>
        <v>22.84762492288711</v>
      </c>
      <c r="H90" s="40">
        <f aca="true" t="shared" si="12" ref="H90:H96">B90-D90</f>
        <v>22844.999999999993</v>
      </c>
      <c r="I90" s="40">
        <f t="shared" si="10"/>
        <v>156330</v>
      </c>
      <c r="J90" s="93"/>
      <c r="K90" s="156"/>
    </row>
    <row r="91" spans="1:11" s="93" customFormat="1" ht="18">
      <c r="A91" s="103" t="s">
        <v>3</v>
      </c>
      <c r="B91" s="128">
        <v>65125.6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</f>
        <v>44316.70999999999</v>
      </c>
      <c r="E91" s="107">
        <f>D91/D90*100</f>
        <v>95.72677394967056</v>
      </c>
      <c r="F91" s="107">
        <f t="shared" si="11"/>
        <v>68.04806404854618</v>
      </c>
      <c r="G91" s="107">
        <f t="shared" si="9"/>
        <v>23.330318557245384</v>
      </c>
      <c r="H91" s="105">
        <f t="shared" si="12"/>
        <v>20808.890000000007</v>
      </c>
      <c r="I91" s="105">
        <f t="shared" si="10"/>
        <v>145636.59</v>
      </c>
      <c r="K91" s="156"/>
    </row>
    <row r="92" spans="1:11" s="93" customFormat="1" ht="18">
      <c r="A92" s="103" t="s">
        <v>25</v>
      </c>
      <c r="B92" s="128">
        <v>1338.1</v>
      </c>
      <c r="C92" s="129">
        <v>2776.4</v>
      </c>
      <c r="D92" s="105">
        <f>57.2+3.4+167+1.4+0.3+83.4+86.9+53.1+5.3+4.7+17+71.3+284.2</f>
        <v>835.2</v>
      </c>
      <c r="E92" s="107">
        <f>D92/D90*100</f>
        <v>1.8040825143104005</v>
      </c>
      <c r="F92" s="107">
        <f t="shared" si="11"/>
        <v>62.416859726477846</v>
      </c>
      <c r="G92" s="107">
        <f t="shared" si="9"/>
        <v>30.082120731883016</v>
      </c>
      <c r="H92" s="105">
        <f t="shared" si="12"/>
        <v>502.89999999999986</v>
      </c>
      <c r="I92" s="105">
        <f t="shared" si="10"/>
        <v>1941.2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2676.3000000000015</v>
      </c>
      <c r="C94" s="129">
        <f>C90-C91-C92-C93</f>
        <v>9895.300000000012</v>
      </c>
      <c r="D94" s="129">
        <f>D90-D91-D92-D93</f>
        <v>1143.0900000000154</v>
      </c>
      <c r="E94" s="107">
        <f>D94/D90*100</f>
        <v>2.4691435360190415</v>
      </c>
      <c r="F94" s="107">
        <f t="shared" si="11"/>
        <v>42.711579419348155</v>
      </c>
      <c r="G94" s="107">
        <f>D94/C94*100</f>
        <v>11.551847846957788</v>
      </c>
      <c r="H94" s="105">
        <f t="shared" si="12"/>
        <v>1533.2099999999862</v>
      </c>
      <c r="I94" s="105">
        <f>C94-D94</f>
        <v>8752.209999999997</v>
      </c>
      <c r="K94" s="156"/>
    </row>
    <row r="95" spans="1:11" ht="18">
      <c r="A95" s="82" t="s">
        <v>12</v>
      </c>
      <c r="B95" s="91">
        <f>16905-346.5</f>
        <v>16558.5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</f>
        <v>8557.800000000001</v>
      </c>
      <c r="E95" s="81">
        <f>D95/D153*100</f>
        <v>2.081905608504533</v>
      </c>
      <c r="F95" s="83">
        <f t="shared" si="11"/>
        <v>51.68221759217321</v>
      </c>
      <c r="G95" s="80">
        <f>D95/C95*100</f>
        <v>17.93809765361349</v>
      </c>
      <c r="H95" s="84">
        <f t="shared" si="12"/>
        <v>8000.699999999999</v>
      </c>
      <c r="I95" s="87">
        <f>C95-D95</f>
        <v>39149.6</v>
      </c>
      <c r="J95" s="93"/>
      <c r="K95" s="156"/>
    </row>
    <row r="96" spans="1:11" s="93" customFormat="1" ht="18.75" thickBot="1">
      <c r="A96" s="131" t="s">
        <v>83</v>
      </c>
      <c r="B96" s="132">
        <v>4774.8</v>
      </c>
      <c r="C96" s="133">
        <v>12814.2</v>
      </c>
      <c r="D96" s="134">
        <f>194.6+1234+3.4+0.5+79.6+1026.4+0.7+86.4+939.3</f>
        <v>3564.8999999999996</v>
      </c>
      <c r="E96" s="135">
        <f>D96/D95*100</f>
        <v>41.65673420738974</v>
      </c>
      <c r="F96" s="136">
        <f t="shared" si="11"/>
        <v>74.66071877356119</v>
      </c>
      <c r="G96" s="137">
        <f>D96/C96*100</f>
        <v>27.819918527883125</v>
      </c>
      <c r="H96" s="138">
        <f t="shared" si="12"/>
        <v>1209.9000000000005</v>
      </c>
      <c r="I96" s="127">
        <f>C96-D96</f>
        <v>9249.300000000001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f>4203.6-9.3-7.3</f>
        <v>4187</v>
      </c>
      <c r="C102" s="70">
        <f>11266.5-91.2</f>
        <v>11175.3</v>
      </c>
      <c r="D102" s="65">
        <f>144.5+120.5+0.1+30.9+51.6+143.8+13.5+25.2+149.6+13.2+89.8+139.8+98.3+5.4+242.1+58+93.2+85.3+255.7+143.6+0.2+288+23.7+143.3</f>
        <v>2359.3</v>
      </c>
      <c r="E102" s="17">
        <f>D102/D153*100</f>
        <v>0.5739605859151586</v>
      </c>
      <c r="F102" s="17">
        <f>D102/B102*100</f>
        <v>56.34822068306664</v>
      </c>
      <c r="G102" s="17">
        <f aca="true" t="shared" si="14" ref="G102:G151">D102/C102*100</f>
        <v>21.111737492505796</v>
      </c>
      <c r="H102" s="65">
        <f aca="true" t="shared" si="15" ref="H102:H107">B102-D102</f>
        <v>1827.6999999999998</v>
      </c>
      <c r="I102" s="65">
        <f aca="true" t="shared" si="16" ref="I102:I151">C102-D102</f>
        <v>8816</v>
      </c>
      <c r="J102" s="94"/>
      <c r="K102" s="156"/>
    </row>
    <row r="103" spans="1:11" s="93" customFormat="1" ht="18.75" customHeight="1">
      <c r="A103" s="103" t="s">
        <v>3</v>
      </c>
      <c r="B103" s="120">
        <v>72.8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72.8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f>3583.1-9.3-7.3</f>
        <v>3566.4999999999995</v>
      </c>
      <c r="C104" s="105">
        <f>8949.2-91.2</f>
        <v>8858</v>
      </c>
      <c r="D104" s="105">
        <f>144.4+120.5+0.1+30.9+51.6+143.7+13.5+25.2+149.6+13.2+89.8+139.7+98.3+5.4+242.1+58+85.3+255.7+143.8+288+14+143.1</f>
        <v>2255.9</v>
      </c>
      <c r="E104" s="107">
        <f>D104/D102*100</f>
        <v>95.61734412749544</v>
      </c>
      <c r="F104" s="107">
        <f aca="true" t="shared" si="17" ref="F104:F151">D104/B104*100</f>
        <v>63.25248843403899</v>
      </c>
      <c r="G104" s="107">
        <f t="shared" si="14"/>
        <v>25.467374125084667</v>
      </c>
      <c r="H104" s="105">
        <f t="shared" si="15"/>
        <v>1310.5999999999995</v>
      </c>
      <c r="I104" s="105">
        <f t="shared" si="16"/>
        <v>6602.1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547.7000000000003</v>
      </c>
      <c r="C106" s="125">
        <f>C102-C103-C104</f>
        <v>1953.5</v>
      </c>
      <c r="D106" s="125">
        <f>D102-D103-D104</f>
        <v>103.40000000000009</v>
      </c>
      <c r="E106" s="126">
        <f>D106/D102*100</f>
        <v>4.38265587250456</v>
      </c>
      <c r="F106" s="126">
        <f t="shared" si="17"/>
        <v>18.878948329377405</v>
      </c>
      <c r="G106" s="126">
        <f t="shared" si="14"/>
        <v>5.293063731763506</v>
      </c>
      <c r="H106" s="127">
        <f>B106-D106</f>
        <v>444.3000000000002</v>
      </c>
      <c r="I106" s="127">
        <f t="shared" si="16"/>
        <v>1850.1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123727.80000000002</v>
      </c>
      <c r="C107" s="67">
        <f>SUM(C108:C150)-C115-C119+C151-C141-C142-C109-C112-C122-C123-C139-C132-C130-C137</f>
        <v>491868.4</v>
      </c>
      <c r="D107" s="67">
        <f>SUM(D108:D150)-D115-D119+D151-D141-D142-D109-D112-D122-D123-D139-D132-D130-D137</f>
        <v>49362.000000000015</v>
      </c>
      <c r="E107" s="68">
        <f>D107/D153*100</f>
        <v>12.008579850779496</v>
      </c>
      <c r="F107" s="68">
        <f>D107/B107*100</f>
        <v>39.89564188484723</v>
      </c>
      <c r="G107" s="68">
        <f t="shared" si="14"/>
        <v>10.035611151275425</v>
      </c>
      <c r="H107" s="67">
        <f t="shared" si="15"/>
        <v>74365.8</v>
      </c>
      <c r="I107" s="67">
        <f t="shared" si="16"/>
        <v>442506.4</v>
      </c>
      <c r="J107" s="115"/>
      <c r="K107" s="156"/>
      <c r="L107" s="96"/>
    </row>
    <row r="108" spans="1:12" s="93" customFormat="1" ht="36.75">
      <c r="A108" s="97" t="s">
        <v>52</v>
      </c>
      <c r="B108" s="98">
        <v>1658.8</v>
      </c>
      <c r="C108" s="162">
        <v>4459</v>
      </c>
      <c r="D108" s="99">
        <f>17.1+81.1+17.3+60.5+173.3+3.4+2+0.4+29.3+1.7+177.1+0.8+38.8+139.8+0.3+1.9+1.8+6.5+136</f>
        <v>889.0999999999998</v>
      </c>
      <c r="E108" s="100">
        <f>D108/D107*100</f>
        <v>1.8011830963089008</v>
      </c>
      <c r="F108" s="100">
        <f t="shared" si="17"/>
        <v>53.598987219676864</v>
      </c>
      <c r="G108" s="100">
        <f t="shared" si="14"/>
        <v>19.939448306795242</v>
      </c>
      <c r="H108" s="101">
        <f aca="true" t="shared" si="18" ref="H108:H151">B108-D108</f>
        <v>769.7000000000002</v>
      </c>
      <c r="I108" s="101">
        <f t="shared" si="16"/>
        <v>3569.9</v>
      </c>
      <c r="K108" s="156"/>
      <c r="L108" s="102"/>
    </row>
    <row r="109" spans="1:12" s="93" customFormat="1" ht="18">
      <c r="A109" s="103" t="s">
        <v>25</v>
      </c>
      <c r="B109" s="104">
        <v>832.1</v>
      </c>
      <c r="C109" s="105">
        <v>1995</v>
      </c>
      <c r="D109" s="106">
        <f>47.8+0.9+59.7+88.3+0.1+59.2+38.8+107.4+24</f>
        <v>426.20000000000005</v>
      </c>
      <c r="E109" s="107">
        <f>D109/D108*100</f>
        <v>47.93611517264652</v>
      </c>
      <c r="F109" s="107">
        <f t="shared" si="17"/>
        <v>51.219805311861556</v>
      </c>
      <c r="G109" s="107">
        <f t="shared" si="14"/>
        <v>21.36340852130326</v>
      </c>
      <c r="H109" s="105">
        <f t="shared" si="18"/>
        <v>405.9</v>
      </c>
      <c r="I109" s="105">
        <f t="shared" si="16"/>
        <v>1568.8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69.7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69.7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25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25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1123.6</v>
      </c>
      <c r="C114" s="101">
        <v>3311.5</v>
      </c>
      <c r="D114" s="99">
        <f>136.4+10+40+6.6+6.1+0.2+177.4+10+1.8+25.1+29.4+48.1+8.1+193.1+10+0.1</f>
        <v>702.4000000000001</v>
      </c>
      <c r="E114" s="100">
        <f>D114/D107*100</f>
        <v>1.4229569304323162</v>
      </c>
      <c r="F114" s="100">
        <f t="shared" si="17"/>
        <v>62.51334994660023</v>
      </c>
      <c r="G114" s="100">
        <f t="shared" si="14"/>
        <v>21.210931601993057</v>
      </c>
      <c r="H114" s="101">
        <f t="shared" si="18"/>
        <v>421.1999999999998</v>
      </c>
      <c r="I114" s="101">
        <f t="shared" si="16"/>
        <v>2609.1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145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145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208.7</v>
      </c>
      <c r="C118" s="110">
        <v>491.6</v>
      </c>
      <c r="D118" s="99">
        <f>45.4+9.9+47+6.4+0.4+0.4+45.4</f>
        <v>154.9</v>
      </c>
      <c r="E118" s="100">
        <f>D118/D107*100</f>
        <v>0.3138041408370811</v>
      </c>
      <c r="F118" s="100">
        <f t="shared" si="17"/>
        <v>74.22137038811692</v>
      </c>
      <c r="G118" s="100">
        <f t="shared" si="14"/>
        <v>31.5093572009764</v>
      </c>
      <c r="H118" s="101">
        <f t="shared" si="18"/>
        <v>53.79999999999998</v>
      </c>
      <c r="I118" s="101">
        <f t="shared" si="16"/>
        <v>336.70000000000005</v>
      </c>
      <c r="K118" s="156"/>
      <c r="L118" s="102"/>
    </row>
    <row r="119" spans="1:12" s="116" customFormat="1" ht="18">
      <c r="A119" s="113" t="s">
        <v>43</v>
      </c>
      <c r="B119" s="104">
        <v>181.7</v>
      </c>
      <c r="C119" s="105">
        <v>408.8</v>
      </c>
      <c r="D119" s="106">
        <f>45.4+45.4+45.4</f>
        <v>136.2</v>
      </c>
      <c r="E119" s="107">
        <f>D119/D118*100</f>
        <v>87.9276952872821</v>
      </c>
      <c r="F119" s="107">
        <f t="shared" si="17"/>
        <v>74.95872317006054</v>
      </c>
      <c r="G119" s="107">
        <f t="shared" si="14"/>
        <v>33.31702544031311</v>
      </c>
      <c r="H119" s="105">
        <f t="shared" si="18"/>
        <v>45.5</v>
      </c>
      <c r="I119" s="105">
        <f t="shared" si="16"/>
        <v>272.6</v>
      </c>
      <c r="K119" s="156"/>
      <c r="L119" s="102"/>
    </row>
    <row r="120" spans="1:12" s="115" customFormat="1" ht="18">
      <c r="A120" s="108" t="s">
        <v>105</v>
      </c>
      <c r="B120" s="109">
        <v>50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50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0.024310198128114736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15009.1</v>
      </c>
      <c r="C124" s="110">
        <v>45511.3</v>
      </c>
      <c r="D124" s="111">
        <f>3529.6+2264.3+1265.3+2996.5+533.1+738.7+2380.2</f>
        <v>13707.7</v>
      </c>
      <c r="E124" s="114">
        <f>D124/D107*100</f>
        <v>27.769741906729866</v>
      </c>
      <c r="F124" s="100">
        <f t="shared" si="17"/>
        <v>91.3292602487824</v>
      </c>
      <c r="G124" s="100">
        <f t="shared" si="14"/>
        <v>30.11933300081518</v>
      </c>
      <c r="H124" s="101">
        <f t="shared" si="18"/>
        <v>1301.3999999999996</v>
      </c>
      <c r="I124" s="101">
        <f t="shared" si="16"/>
        <v>31803.600000000002</v>
      </c>
      <c r="K124" s="156"/>
      <c r="L124" s="102"/>
    </row>
    <row r="125" spans="1:12" s="115" customFormat="1" ht="18">
      <c r="A125" s="108" t="s">
        <v>91</v>
      </c>
      <c r="B125" s="109">
        <v>79.4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79.4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160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160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v>74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218.8</v>
      </c>
      <c r="C129" s="110">
        <v>942</v>
      </c>
      <c r="D129" s="111">
        <f>7+4.2+0.1+12.3+0.2+7.1+17.8+14.9+1.7+0.1+7.4+7+2.7</f>
        <v>82.5</v>
      </c>
      <c r="E129" s="114">
        <f>D129/D107*100</f>
        <v>0.1671326121307888</v>
      </c>
      <c r="F129" s="100">
        <f t="shared" si="17"/>
        <v>37.70566727605119</v>
      </c>
      <c r="G129" s="100">
        <f t="shared" si="14"/>
        <v>8.75796178343949</v>
      </c>
      <c r="H129" s="101">
        <f t="shared" si="18"/>
        <v>136.3</v>
      </c>
      <c r="I129" s="101">
        <f t="shared" si="16"/>
        <v>859.5</v>
      </c>
      <c r="K129" s="156"/>
      <c r="L129" s="102"/>
    </row>
    <row r="130" spans="1:12" s="116" customFormat="1" ht="18">
      <c r="A130" s="103" t="s">
        <v>88</v>
      </c>
      <c r="B130" s="104">
        <v>42.4</v>
      </c>
      <c r="C130" s="105">
        <v>510.8</v>
      </c>
      <c r="D130" s="106">
        <f>7+7.1+7</f>
        <v>21.1</v>
      </c>
      <c r="E130" s="107">
        <f>D130/D129*100</f>
        <v>25.575757575757578</v>
      </c>
      <c r="F130" s="107">
        <f>D130/B130*100</f>
        <v>49.76415094339623</v>
      </c>
      <c r="G130" s="107">
        <f t="shared" si="14"/>
        <v>4.1307752545027405</v>
      </c>
      <c r="H130" s="105">
        <f t="shared" si="18"/>
        <v>21.299999999999997</v>
      </c>
      <c r="I130" s="105">
        <f t="shared" si="16"/>
        <v>489.7</v>
      </c>
      <c r="K130" s="156"/>
      <c r="L130" s="102"/>
    </row>
    <row r="131" spans="1:12" s="115" customFormat="1" ht="36.75">
      <c r="A131" s="108" t="s">
        <v>103</v>
      </c>
      <c r="B131" s="109">
        <v>110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110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105</v>
      </c>
      <c r="C135" s="110">
        <v>383.2</v>
      </c>
      <c r="D135" s="111">
        <f>2.9+1.5</f>
        <v>4.4</v>
      </c>
      <c r="E135" s="114">
        <f>D135/D107*100</f>
        <v>0.008913739313642071</v>
      </c>
      <c r="F135" s="100">
        <f t="shared" si="17"/>
        <v>4.190476190476191</v>
      </c>
      <c r="G135" s="100">
        <f t="shared" si="14"/>
        <v>1.1482254697286014</v>
      </c>
      <c r="H135" s="101">
        <f t="shared" si="18"/>
        <v>100.6</v>
      </c>
      <c r="I135" s="101">
        <f t="shared" si="16"/>
        <v>378.8</v>
      </c>
      <c r="K135" s="156"/>
      <c r="L135" s="102"/>
    </row>
    <row r="136" spans="1:12" s="115" customFormat="1" ht="39" customHeight="1">
      <c r="A136" s="108" t="s">
        <v>54</v>
      </c>
      <c r="B136" s="109">
        <v>40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40</v>
      </c>
      <c r="I136" s="101">
        <f t="shared" si="16"/>
        <v>350</v>
      </c>
      <c r="K136" s="156"/>
      <c r="L136" s="102"/>
    </row>
    <row r="137" spans="1:12" s="116" customFormat="1" ht="18">
      <c r="A137" s="103" t="s">
        <v>88</v>
      </c>
      <c r="B137" s="104">
        <v>15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15</v>
      </c>
      <c r="I137" s="105">
        <f>C137-D137</f>
        <v>110</v>
      </c>
      <c r="K137" s="156"/>
      <c r="L137" s="102"/>
    </row>
    <row r="138" spans="1:12" s="115" customFormat="1" ht="32.25" customHeight="1">
      <c r="A138" s="108" t="s">
        <v>84</v>
      </c>
      <c r="B138" s="109">
        <v>263.3</v>
      </c>
      <c r="C138" s="110">
        <v>607.7</v>
      </c>
      <c r="D138" s="111">
        <f>76+0.3+41</f>
        <v>117.3</v>
      </c>
      <c r="E138" s="114">
        <f>D138/D107*100</f>
        <v>0.23763218670232156</v>
      </c>
      <c r="F138" s="100">
        <f>D138/B138*100</f>
        <v>44.54994303076339</v>
      </c>
      <c r="G138" s="100">
        <f>D138/C138*100</f>
        <v>19.302287312818823</v>
      </c>
      <c r="H138" s="101">
        <f t="shared" si="18"/>
        <v>146</v>
      </c>
      <c r="I138" s="101">
        <f t="shared" si="16"/>
        <v>490.40000000000003</v>
      </c>
      <c r="K138" s="156"/>
      <c r="L138" s="102"/>
    </row>
    <row r="139" spans="1:12" s="116" customFormat="1" ht="18">
      <c r="A139" s="103" t="s">
        <v>25</v>
      </c>
      <c r="B139" s="104">
        <v>220.2</v>
      </c>
      <c r="C139" s="105">
        <v>489.6</v>
      </c>
      <c r="D139" s="106">
        <f>76+37.6</f>
        <v>113.6</v>
      </c>
      <c r="E139" s="107">
        <f>D139/D138*100</f>
        <v>96.84569479965899</v>
      </c>
      <c r="F139" s="107">
        <f t="shared" si="17"/>
        <v>51.58946412352407</v>
      </c>
      <c r="G139" s="107">
        <f>D139/C139*100</f>
        <v>23.202614379084967</v>
      </c>
      <c r="H139" s="105">
        <f t="shared" si="18"/>
        <v>106.6</v>
      </c>
      <c r="I139" s="105">
        <f t="shared" si="16"/>
        <v>376</v>
      </c>
      <c r="K139" s="156"/>
      <c r="L139" s="102"/>
    </row>
    <row r="140" spans="1:12" s="115" customFormat="1" ht="18">
      <c r="A140" s="108" t="s">
        <v>96</v>
      </c>
      <c r="B140" s="109">
        <v>570.2</v>
      </c>
      <c r="C140" s="110">
        <v>1760</v>
      </c>
      <c r="D140" s="111">
        <f>107.3+0.4+30.4+78.2+4.1+36.9+117.9</f>
        <v>375.20000000000005</v>
      </c>
      <c r="E140" s="114">
        <f>D140/D107*100</f>
        <v>0.7600988614723876</v>
      </c>
      <c r="F140" s="100">
        <f t="shared" si="17"/>
        <v>65.80147316730972</v>
      </c>
      <c r="G140" s="100">
        <f t="shared" si="14"/>
        <v>21.31818181818182</v>
      </c>
      <c r="H140" s="101">
        <f t="shared" si="18"/>
        <v>195</v>
      </c>
      <c r="I140" s="101">
        <f t="shared" si="16"/>
        <v>1384.8</v>
      </c>
      <c r="K140" s="175"/>
      <c r="L140" s="176"/>
    </row>
    <row r="141" spans="1:12" s="116" customFormat="1" ht="18">
      <c r="A141" s="113" t="s">
        <v>43</v>
      </c>
      <c r="B141" s="104">
        <v>459.3</v>
      </c>
      <c r="C141" s="105">
        <v>1437.4</v>
      </c>
      <c r="D141" s="106">
        <f>107.3+25.4+76+34+76.6</f>
        <v>319.29999999999995</v>
      </c>
      <c r="E141" s="107">
        <f>D141/D140*100</f>
        <v>85.1012793176972</v>
      </c>
      <c r="F141" s="107">
        <f aca="true" t="shared" si="19" ref="F141:F150">D141/B141*100</f>
        <v>69.51883300674939</v>
      </c>
      <c r="G141" s="107">
        <f t="shared" si="14"/>
        <v>22.213719215249753</v>
      </c>
      <c r="H141" s="105">
        <f t="shared" si="18"/>
        <v>140.00000000000006</v>
      </c>
      <c r="I141" s="105">
        <f t="shared" si="16"/>
        <v>1118.1000000000001</v>
      </c>
      <c r="K141" s="175"/>
      <c r="L141" s="176"/>
    </row>
    <row r="142" spans="1:13" s="116" customFormat="1" ht="18">
      <c r="A142" s="103" t="s">
        <v>25</v>
      </c>
      <c r="B142" s="104">
        <v>26.2</v>
      </c>
      <c r="C142" s="105">
        <v>40</v>
      </c>
      <c r="D142" s="106">
        <f>0.4+4.9+0.7+4.7</f>
        <v>10.700000000000001</v>
      </c>
      <c r="E142" s="107">
        <f>D142/D140*100</f>
        <v>2.85181236673774</v>
      </c>
      <c r="F142" s="107">
        <f t="shared" si="19"/>
        <v>40.839694656488554</v>
      </c>
      <c r="G142" s="107">
        <f>D142/C142*100</f>
        <v>26.75</v>
      </c>
      <c r="H142" s="105">
        <f t="shared" si="18"/>
        <v>15.499999999999998</v>
      </c>
      <c r="I142" s="105">
        <f t="shared" si="16"/>
        <v>29.299999999999997</v>
      </c>
      <c r="K142" s="175"/>
      <c r="L142" s="176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5"/>
      <c r="L143" s="176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5"/>
      <c r="L144" s="176"/>
    </row>
    <row r="145" spans="1:12" s="115" customFormat="1" ht="18">
      <c r="A145" s="119" t="s">
        <v>97</v>
      </c>
      <c r="B145" s="109">
        <v>14516.5</v>
      </c>
      <c r="C145" s="110">
        <f>56447.1-100+1500</f>
        <v>57847.1</v>
      </c>
      <c r="D145" s="111">
        <f>254.7+197.5+629.8+725.8+539.8+84+74.2+508.7+16.5+120.5+1481.6+832.6+99.5</f>
        <v>5565.2</v>
      </c>
      <c r="E145" s="114">
        <f>D145/D107*100</f>
        <v>11.274259551882011</v>
      </c>
      <c r="F145" s="100">
        <f t="shared" si="19"/>
        <v>38.33706471945717</v>
      </c>
      <c r="G145" s="100">
        <f t="shared" si="14"/>
        <v>9.620534132220977</v>
      </c>
      <c r="H145" s="101">
        <f t="shared" si="18"/>
        <v>8951.3</v>
      </c>
      <c r="I145" s="101">
        <f t="shared" si="16"/>
        <v>52281.9</v>
      </c>
      <c r="K145" s="175"/>
      <c r="L145" s="176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5"/>
      <c r="L146" s="176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5"/>
      <c r="L147" s="176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0.09399943276204366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5"/>
      <c r="L148" s="176"/>
    </row>
    <row r="149" spans="1:12" s="115" customFormat="1" ht="18" customHeight="1">
      <c r="A149" s="108" t="s">
        <v>77</v>
      </c>
      <c r="B149" s="109">
        <v>4460.2</v>
      </c>
      <c r="C149" s="110">
        <f>10563.8+657.7</f>
        <v>11221.5</v>
      </c>
      <c r="D149" s="111">
        <f>791.9+575.3+777.6+830.9</f>
        <v>2975.7</v>
      </c>
      <c r="E149" s="114">
        <f>D149/D107*100</f>
        <v>6.028321380819252</v>
      </c>
      <c r="F149" s="100">
        <f t="shared" si="19"/>
        <v>66.71673915967894</v>
      </c>
      <c r="G149" s="100">
        <f t="shared" si="14"/>
        <v>26.517845207859907</v>
      </c>
      <c r="H149" s="101">
        <f t="shared" si="18"/>
        <v>1484.5</v>
      </c>
      <c r="I149" s="101">
        <f t="shared" si="16"/>
        <v>8245.8</v>
      </c>
      <c r="K149" s="175"/>
      <c r="L149" s="176"/>
    </row>
    <row r="150" spans="1:12" s="115" customFormat="1" ht="19.5" customHeight="1">
      <c r="A150" s="149" t="s">
        <v>50</v>
      </c>
      <c r="B150" s="150">
        <v>70256.5</v>
      </c>
      <c r="C150" s="151">
        <f>321056.7-1304.9</f>
        <v>319751.8</v>
      </c>
      <c r="D150" s="152">
        <f>27.8+914.6+10874.2+1188.7+864.1+301.6</f>
        <v>14171.000000000002</v>
      </c>
      <c r="E150" s="153">
        <f>D150/D107*100</f>
        <v>28.7083181394595</v>
      </c>
      <c r="F150" s="154">
        <f t="shared" si="19"/>
        <v>20.170375694775576</v>
      </c>
      <c r="G150" s="154">
        <f t="shared" si="14"/>
        <v>4.431874973025954</v>
      </c>
      <c r="H150" s="155">
        <f t="shared" si="18"/>
        <v>56085.5</v>
      </c>
      <c r="I150" s="155">
        <f>C150-D150</f>
        <v>305580.8</v>
      </c>
      <c r="K150" s="175"/>
      <c r="L150" s="176"/>
    </row>
    <row r="151" spans="1:12" s="115" customFormat="1" ht="18">
      <c r="A151" s="108" t="s">
        <v>99</v>
      </c>
      <c r="B151" s="109">
        <v>14077.6</v>
      </c>
      <c r="C151" s="110">
        <v>42232</v>
      </c>
      <c r="D151" s="111">
        <f>819+819+819.1+1062.3+1173.1+1173.1+1173.2+1173.1+1173.1+1173.2</f>
        <v>10558.2</v>
      </c>
      <c r="E151" s="114">
        <f>D151/D107*100</f>
        <v>21.389327823021752</v>
      </c>
      <c r="F151" s="100">
        <f t="shared" si="17"/>
        <v>75</v>
      </c>
      <c r="G151" s="100">
        <f t="shared" si="14"/>
        <v>25.00047357454063</v>
      </c>
      <c r="H151" s="101">
        <f t="shared" si="18"/>
        <v>3519.3999999999996</v>
      </c>
      <c r="I151" s="101">
        <f t="shared" si="16"/>
        <v>31673.8</v>
      </c>
      <c r="K151" s="175"/>
      <c r="L151" s="176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52027.70000000001</v>
      </c>
      <c r="E152" s="15"/>
      <c r="F152" s="15"/>
      <c r="G152" s="6"/>
      <c r="H152" s="52"/>
      <c r="I152" s="44"/>
      <c r="K152" s="175"/>
      <c r="L152" s="177"/>
    </row>
    <row r="153" spans="1:12" ht="18.75" thickBot="1">
      <c r="A153" s="12" t="s">
        <v>18</v>
      </c>
      <c r="B153" s="40">
        <f>B6+B18+B33+B43+B51+B59+B69+B72+B77+B79+B87+B90+B95+B102+B107+B100+B84+B98+B45</f>
        <v>662305.1000000001</v>
      </c>
      <c r="C153" s="40">
        <f>C6+C18+C33+C43+C51+C59+C69+C72+C77+C79+C87+C90+C95+C102+C107+C100+C84+C98+C45</f>
        <v>2108759.3</v>
      </c>
      <c r="D153" s="40">
        <f>D6+D18+D33+D43+D51+D59+D69+D72+D77+D79+D87+D90+D95+D102+D107+D100+D84+D98+D45</f>
        <v>411056.1</v>
      </c>
      <c r="E153" s="28">
        <v>100</v>
      </c>
      <c r="F153" s="3">
        <f>D153/B153*100</f>
        <v>62.06446243581696</v>
      </c>
      <c r="G153" s="3">
        <f aca="true" t="shared" si="20" ref="G153:G159">D153/C153*100</f>
        <v>19.492793701016517</v>
      </c>
      <c r="H153" s="40">
        <f aca="true" t="shared" si="21" ref="H153:H159">B153-D153</f>
        <v>251249.00000000012</v>
      </c>
      <c r="I153" s="40">
        <f aca="true" t="shared" si="22" ref="I153:I159">C153-D153</f>
        <v>1697703.1999999997</v>
      </c>
      <c r="K153" s="178"/>
      <c r="L153" s="179"/>
    </row>
    <row r="154" spans="1:12" ht="18">
      <c r="A154" s="16" t="s">
        <v>5</v>
      </c>
      <c r="B154" s="51">
        <f>B8+B20+B34+B52+B60+B91+B115+B119+B46+B141+B132+B103</f>
        <v>283412.7</v>
      </c>
      <c r="C154" s="51">
        <f>C8+C20+C34+C52+C60+C91+C115+C119+C46+C141+C132+C103</f>
        <v>898180.8</v>
      </c>
      <c r="D154" s="51">
        <f>D8+D20+D34+D52+D60+D91+D115+D119+D46+D141+D132+D103</f>
        <v>204109.71</v>
      </c>
      <c r="E154" s="6">
        <f>D154/D153*100</f>
        <v>49.65495220725346</v>
      </c>
      <c r="F154" s="6">
        <f aca="true" t="shared" si="23" ref="F154:F159">D154/B154*100</f>
        <v>72.01854751039738</v>
      </c>
      <c r="G154" s="6">
        <f t="shared" si="20"/>
        <v>22.724791044297536</v>
      </c>
      <c r="H154" s="52">
        <f t="shared" si="21"/>
        <v>79302.99000000002</v>
      </c>
      <c r="I154" s="62">
        <f t="shared" si="22"/>
        <v>694071.0900000001</v>
      </c>
      <c r="K154" s="175"/>
      <c r="L154" s="179"/>
    </row>
    <row r="155" spans="1:12" ht="18">
      <c r="A155" s="16" t="s">
        <v>0</v>
      </c>
      <c r="B155" s="52">
        <f>B11+B23+B36+B55+B62+B92+B49+B142+B109+B112+B96+B139+B128</f>
        <v>58505.2</v>
      </c>
      <c r="C155" s="52">
        <f>C11+C23+C36+C55+C62+C92+C49+C142+C109+C112+C96+C139+C128</f>
        <v>110563.99999999999</v>
      </c>
      <c r="D155" s="52">
        <f>D11+D23+D36+D55+D62+D92+D49+D142+D109+D112+D96+D139+D128</f>
        <v>36194.90000000001</v>
      </c>
      <c r="E155" s="6">
        <f>D155/D153*100</f>
        <v>8.805343114966549</v>
      </c>
      <c r="F155" s="6">
        <f t="shared" si="23"/>
        <v>61.86612472053768</v>
      </c>
      <c r="G155" s="6">
        <f t="shared" si="20"/>
        <v>32.73660504323289</v>
      </c>
      <c r="H155" s="52">
        <f>B155-D155</f>
        <v>22310.29999999999</v>
      </c>
      <c r="I155" s="62">
        <f t="shared" si="22"/>
        <v>74369.09999999998</v>
      </c>
      <c r="K155" s="175"/>
      <c r="L155" s="180"/>
    </row>
    <row r="156" spans="1:12" ht="18">
      <c r="A156" s="16" t="s">
        <v>1</v>
      </c>
      <c r="B156" s="51">
        <f>B22+B10+B54+B48+B61+B35+B123</f>
        <v>15644.699999999999</v>
      </c>
      <c r="C156" s="51">
        <f>C22+C10+C54+C48+C61+C35+C123</f>
        <v>45935.1</v>
      </c>
      <c r="D156" s="51">
        <f>D22+D10+D54+D48+D61+D35+D123</f>
        <v>7455.7</v>
      </c>
      <c r="E156" s="6">
        <f>D156/D153*100</f>
        <v>1.8137913535403074</v>
      </c>
      <c r="F156" s="6">
        <f t="shared" si="23"/>
        <v>47.6563948174142</v>
      </c>
      <c r="G156" s="6">
        <f t="shared" si="20"/>
        <v>16.230943222067655</v>
      </c>
      <c r="H156" s="52">
        <f t="shared" si="21"/>
        <v>8188.999999999999</v>
      </c>
      <c r="I156" s="62">
        <f t="shared" si="22"/>
        <v>38479.4</v>
      </c>
      <c r="K156" s="175"/>
      <c r="L156" s="179"/>
    </row>
    <row r="157" spans="1:12" ht="21" customHeight="1">
      <c r="A157" s="16" t="s">
        <v>14</v>
      </c>
      <c r="B157" s="51">
        <f>B12+B24+B104+B63+B38+B93+B130+B56+B137</f>
        <v>8418.699999999999</v>
      </c>
      <c r="C157" s="51">
        <f>C12+C24+C104+C63+C38+C93+C130+C56+C137</f>
        <v>28484.199999999997</v>
      </c>
      <c r="D157" s="51">
        <f>D12+D24+D104+D63+D38+D93+D130+D56+D137</f>
        <v>5886.400000000001</v>
      </c>
      <c r="E157" s="6">
        <f>D157/D153*100</f>
        <v>1.4320186466032254</v>
      </c>
      <c r="F157" s="6">
        <f t="shared" si="23"/>
        <v>69.92053404920001</v>
      </c>
      <c r="G157" s="6">
        <f t="shared" si="20"/>
        <v>20.665491746301463</v>
      </c>
      <c r="H157" s="52">
        <f>B157-D157</f>
        <v>2532.2999999999984</v>
      </c>
      <c r="I157" s="62">
        <f t="shared" si="22"/>
        <v>22597.799999999996</v>
      </c>
      <c r="K157" s="175"/>
      <c r="L157" s="180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8.8</v>
      </c>
      <c r="E158" s="6">
        <f>D158/D153*100</f>
        <v>0.0021408270063380647</v>
      </c>
      <c r="F158" s="6">
        <f t="shared" si="23"/>
        <v>27.848101265822784</v>
      </c>
      <c r="G158" s="6">
        <f t="shared" si="20"/>
        <v>7.780725022104333</v>
      </c>
      <c r="H158" s="52">
        <f t="shared" si="21"/>
        <v>22.8</v>
      </c>
      <c r="I158" s="62">
        <f t="shared" si="22"/>
        <v>104.30000000000001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296292.20000000007</v>
      </c>
      <c r="C159" s="64">
        <f>C153-C154-C155-C156-C157-C158</f>
        <v>1025482.0999999997</v>
      </c>
      <c r="D159" s="64">
        <f>D153-D154-D155-D156-D157-D158</f>
        <v>157400.59</v>
      </c>
      <c r="E159" s="31">
        <f>D159/D153*100</f>
        <v>38.29175385063012</v>
      </c>
      <c r="F159" s="31">
        <f t="shared" si="23"/>
        <v>53.1234335564689</v>
      </c>
      <c r="G159" s="31">
        <f t="shared" si="20"/>
        <v>15.348935880987103</v>
      </c>
      <c r="H159" s="89">
        <f t="shared" si="21"/>
        <v>138891.61000000007</v>
      </c>
      <c r="I159" s="89">
        <f t="shared" si="22"/>
        <v>868081.5099999998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411056.1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411056.1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2018-04-06T04:55:51Z</dcterms:modified>
  <cp:category/>
  <cp:version/>
  <cp:contentType/>
  <cp:contentStatus/>
</cp:coreProperties>
</file>